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gramData\Nask.Desk\mazmi\2024093000\ac0d15b17c334b83a9e4d3f10d13ee9e\5f725ebf8afb4ccfb568c806030d63c9\"/>
    </mc:Choice>
  </mc:AlternateContent>
  <xr:revisionPtr revIDLastSave="0" documentId="13_ncr:1_{D3FCA3CC-266C-480B-84E0-EDD31518EBCB}" xr6:coauthVersionLast="47" xr6:coauthVersionMax="47" xr10:uidLastSave="{00000000-0000-0000-0000-000000000000}"/>
  <bookViews>
    <workbookView xWindow="-120" yWindow="-120" windowWidth="29040" windowHeight="15720" activeTab="1" xr2:uid="{4CCDABE2-B4FC-49DE-9E1F-524699D0E0CE}"/>
  </bookViews>
  <sheets>
    <sheet name="Specyfikacja pomieszczeń" sheetId="1" r:id="rId1"/>
    <sheet name="Zakres prac - przedmiar" sheetId="2" r:id="rId2"/>
    <sheet name="wyliczenie pomocnicze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3" l="1"/>
  <c r="D25" i="2"/>
  <c r="D14" i="2"/>
  <c r="E31" i="3"/>
  <c r="G5" i="1"/>
  <c r="G9" i="1"/>
  <c r="D5" i="2" s="1"/>
  <c r="D29" i="2"/>
  <c r="D28" i="2"/>
  <c r="B27" i="3"/>
  <c r="D27" i="2"/>
  <c r="B26" i="3"/>
  <c r="B25" i="3"/>
  <c r="B28" i="3" s="1"/>
  <c r="D15" i="2"/>
  <c r="B20" i="3"/>
  <c r="B19" i="3"/>
  <c r="B21" i="3" s="1"/>
  <c r="D13" i="2"/>
  <c r="D12" i="2"/>
  <c r="D11" i="2"/>
  <c r="B15" i="3"/>
  <c r="D4" i="2"/>
  <c r="B2" i="3"/>
  <c r="B8" i="3" s="1"/>
  <c r="D8" i="3" s="1"/>
  <c r="B6" i="3"/>
  <c r="B7" i="3"/>
  <c r="B5" i="3"/>
  <c r="K8" i="1"/>
  <c r="K9" i="1"/>
  <c r="J9" i="1"/>
  <c r="I9" i="1"/>
  <c r="H9" i="1"/>
  <c r="F9" i="1"/>
  <c r="E9" i="1"/>
  <c r="D9" i="1"/>
  <c r="D9" i="3" l="1"/>
  <c r="E9" i="3"/>
  <c r="K5" i="1"/>
  <c r="K3" i="1"/>
  <c r="F2" i="1"/>
  <c r="K6" i="1"/>
  <c r="J6" i="1"/>
  <c r="J4" i="1"/>
  <c r="J5" i="1"/>
  <c r="J7" i="1"/>
  <c r="J8" i="1"/>
  <c r="J3" i="1"/>
  <c r="I8" i="1"/>
  <c r="I7" i="1"/>
  <c r="I6" i="1"/>
  <c r="I5" i="1"/>
  <c r="I3" i="1"/>
  <c r="H8" i="1"/>
  <c r="H7" i="1"/>
  <c r="H6" i="1"/>
  <c r="H5" i="1"/>
  <c r="G8" i="1"/>
  <c r="G7" i="1"/>
  <c r="G6" i="1"/>
  <c r="F8" i="1"/>
  <c r="F7" i="1"/>
  <c r="D8" i="1"/>
  <c r="D7" i="1"/>
  <c r="F6" i="1"/>
  <c r="D6" i="1"/>
  <c r="F5" i="1"/>
  <c r="K4" i="1"/>
  <c r="D5" i="1"/>
  <c r="D4" i="1"/>
  <c r="D3" i="1"/>
  <c r="F3" i="1"/>
  <c r="F4" i="1"/>
  <c r="H3" i="1"/>
  <c r="G3" i="1"/>
  <c r="K7" i="1" l="1"/>
</calcChain>
</file>

<file path=xl/sharedStrings.xml><?xml version="1.0" encoding="utf-8"?>
<sst xmlns="http://schemas.openxmlformats.org/spreadsheetml/2006/main" count="159" uniqueCount="120">
  <si>
    <t>wykończenie posadzki</t>
  </si>
  <si>
    <t>wymiary pomieszczenia</t>
  </si>
  <si>
    <t>wysokośc pomieszczenia</t>
  </si>
  <si>
    <t>pow. podłogi/sufitu</t>
  </si>
  <si>
    <t>cokoły
mb</t>
  </si>
  <si>
    <t>pow. ściany1</t>
  </si>
  <si>
    <t>pow.ściany2</t>
  </si>
  <si>
    <t>suma powierzchni ścian</t>
  </si>
  <si>
    <t xml:space="preserve">suma powierzchni do malowania </t>
  </si>
  <si>
    <t>wyposażenie pomieszczeń (meble)</t>
  </si>
  <si>
    <t>uwagi</t>
  </si>
  <si>
    <t>wykładzina dywanowa</t>
  </si>
  <si>
    <t>łazienka</t>
  </si>
  <si>
    <t>gres/terakota</t>
  </si>
  <si>
    <t>przedpokój</t>
  </si>
  <si>
    <t>toaleta</t>
  </si>
  <si>
    <t>pokój</t>
  </si>
  <si>
    <t>pokój z aneksem kuchennym</t>
  </si>
  <si>
    <t>powierzchnia pomieszczenia</t>
  </si>
  <si>
    <t>do malowania tylko pow. sufitu tj. ok. 2,00 m2</t>
  </si>
  <si>
    <t>Pomieszczenie</t>
  </si>
  <si>
    <t>wykładzina dywanowa
gres/terakota</t>
  </si>
  <si>
    <t>demontaż wykładziny</t>
  </si>
  <si>
    <t>demontaż cokołów</t>
  </si>
  <si>
    <t>wykucie otworu drzwiowego</t>
  </si>
  <si>
    <t>częściowe zamurowanie istniejącego otworu</t>
  </si>
  <si>
    <t>zakres prac</t>
  </si>
  <si>
    <t>dwukrotne malowanie ścian</t>
  </si>
  <si>
    <t>dwukrotne malowanie sufitu</t>
  </si>
  <si>
    <t xml:space="preserve">wykonanie podłoża pod nową wykładzinę </t>
  </si>
  <si>
    <t>j.m</t>
  </si>
  <si>
    <t>m2</t>
  </si>
  <si>
    <t>mb</t>
  </si>
  <si>
    <t>montaż nowej wykładziny wraz z cokołami z wklejką z wykładziny</t>
  </si>
  <si>
    <t>demontaż płytek z glazury oraz gresu</t>
  </si>
  <si>
    <t>wyburzenie ścianek</t>
  </si>
  <si>
    <t>wyburzenie ścianek działowych</t>
  </si>
  <si>
    <t>wbudowanie ścianki działowej z g-k</t>
  </si>
  <si>
    <t>demontaż zabudowy kuchennej</t>
  </si>
  <si>
    <t>m3</t>
  </si>
  <si>
    <t>szt.</t>
  </si>
  <si>
    <t>prace elektryczne - przeniesienie czujki dymu</t>
  </si>
  <si>
    <t>prace hydrauliczne - demontaż urządzeń sanitarnych</t>
  </si>
  <si>
    <t>prace elektryczne - likwidacja punktów oświetleniowych</t>
  </si>
  <si>
    <t>prace elektryczne - sprawdzenie ochrony przed porażeniem (badanie po ingerencji)</t>
  </si>
  <si>
    <t>prace przygotowawcze - zabezpieczenie pomieszczeń (okna, drzwi, osprzęt)</t>
  </si>
  <si>
    <t xml:space="preserve">Lp. 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</si>
  <si>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</si>
  <si>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</si>
  <si>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</si>
  <si>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</si>
  <si>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</si>
  <si>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</si>
  <si>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</si>
  <si>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</si>
  <si>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</si>
  <si>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</si>
  <si>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</si>
  <si>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</si>
  <si>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</si>
  <si>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</si>
  <si>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</si>
  <si>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</si>
  <si>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</si>
  <si>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</si>
  <si>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</si>
  <si>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</si>
  <si>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</si>
  <si>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</si>
  <si>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</si>
  <si>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</si>
  <si>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</si>
  <si>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</si>
  <si>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</si>
  <si>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Sumy kolumn</t>
  </si>
  <si>
    <t>pralka</t>
  </si>
  <si>
    <t>garderoba</t>
  </si>
  <si>
    <t>szafa trzydrzwiowa</t>
  </si>
  <si>
    <t>kanapa trzyosobowa, fotel, kanapa dwuosobowa,szafka pod telewizor,stolik kawowy, stół, sześć krzeseł,szafka z witrynką szklaną, szafka</t>
  </si>
  <si>
    <t>szafka z wieszakiem, lustro, biurko, fotel, szafka z witrynką szklaną</t>
  </si>
  <si>
    <t>łązko sypialne z dwiema szafkami nocnymi, toaletka, pufka,</t>
  </si>
  <si>
    <t>powierzchnia wykładziny ok.  19,63 m2
powierzchnia gresu ok. 13,18 m2</t>
  </si>
  <si>
    <t>suma</t>
  </si>
  <si>
    <t>przyjęto</t>
  </si>
  <si>
    <t>5,93 x 2,16</t>
  </si>
  <si>
    <t>1,79 x 1,07</t>
  </si>
  <si>
    <t>2,31 x 1,78</t>
  </si>
  <si>
    <t>1,85 x 1,8</t>
  </si>
  <si>
    <t>3,9 x 5,53</t>
  </si>
  <si>
    <t>5,58 x 5,63</t>
  </si>
  <si>
    <t>powierzchnia do naprawy - ok 10% powierzchni</t>
  </si>
  <si>
    <t>pow do malowania</t>
  </si>
  <si>
    <t>prace elektryczne - przeniesienie włączników światła</t>
  </si>
  <si>
    <t>glazura w kuchni</t>
  </si>
  <si>
    <t>gres w kuchni</t>
  </si>
  <si>
    <t>łązienka/garderoba</t>
  </si>
  <si>
    <t>ściana w pokoju</t>
  </si>
  <si>
    <t>w salonie</t>
  </si>
  <si>
    <t>pow do naprawy</t>
  </si>
  <si>
    <t>przybliżona wielkość wykłądziny w cokołach</t>
  </si>
  <si>
    <t>zlewozmywak w kuchni - 1 
umywalka w łazience -1
pralka w łazience - 1
sedes w łazience - 1
wanna w łazience - 1</t>
  </si>
  <si>
    <t>prace elektryczne - montaż nowych punktów oświetleniowych</t>
  </si>
  <si>
    <t xml:space="preserve">szt. </t>
  </si>
  <si>
    <t>kpl.</t>
  </si>
  <si>
    <t>prace  elektryczne - przeniesienie istniejących gniazdek - szt. 6</t>
  </si>
  <si>
    <t>prace hydrauliczne - likwidacja podłączeń wodno-kanalizacyjnych</t>
  </si>
  <si>
    <t>wywóz i utylizacja odpadów</t>
  </si>
  <si>
    <t>przeniesienie z garderoby do pom. 2018A</t>
  </si>
  <si>
    <t xml:space="preserve">likwidacja kinkietów:
łazienka - 1
kuchnia - 2
salon - 3
</t>
  </si>
  <si>
    <t>w pomieszczeniu 2019</t>
  </si>
  <si>
    <t>prace elektryczne - przeniesienie punktów świetlnych</t>
  </si>
  <si>
    <t>wszystkie, w które była ingerencja podczas prowadzenia prac</t>
  </si>
  <si>
    <t>90x200</t>
  </si>
  <si>
    <t xml:space="preserve">montaż nowych drzwi </t>
  </si>
  <si>
    <t xml:space="preserve">wymiana drzwi </t>
  </si>
  <si>
    <t>po liwidacji garderoby i łazienki - z wyburzonej ściany działowej na sufit</t>
  </si>
  <si>
    <t>pom. 2018 po dokonanym podziale pomieszczenia przez ściankę działłową</t>
  </si>
  <si>
    <t>przyjęto 13 m2</t>
  </si>
  <si>
    <t>miejscowa naprawa ścian i sufitów ok. 5% powierzchni do malowania</t>
  </si>
  <si>
    <r>
      <rPr>
        <b/>
        <sz val="10"/>
        <rFont val="Calibri"/>
        <family val="2"/>
        <charset val="238"/>
      </rPr>
      <t>~</t>
    </r>
    <r>
      <rPr>
        <b/>
        <i/>
        <sz val="10"/>
        <rFont val="Arial Narrow"/>
        <family val="2"/>
        <charset val="238"/>
      </rPr>
      <t xml:space="preserve"> obmiar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</si>
</sst>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0"/>
      <name val="Calibri"/>
      <family val="2"/>
      <charset val="238"/>
    </font>
    <font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/>
    <xf numFmtId="2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0" fillId="0" borderId="1" xfId="0" applyNumberFormat="1" applyBorder="1"/>
    <xf numFmtId="2" fontId="3" fillId="0" borderId="1" xfId="0" applyNumberFormat="1" applyFont="1" applyBorder="1"/>
    <xf numFmtId="0" fontId="3" fillId="0" borderId="0" xfId="0" applyFont="1"/>
    <xf numFmtId="2" fontId="3" fillId="0" borderId="0" xfId="0" applyNumberFormat="1" applyFont="1"/>
    <xf numFmtId="0" fontId="3" fillId="0" borderId="0" xfId="0" applyFont="1" applyAlignment="1">
      <alignment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57304-B979-4E31-8B37-A3C228688BF9}">
  <dimension ref="A1:M11"/>
  <sheetViews>
    <sheetView zoomScale="90" zoomScaleNormal="90" workbookViewId="0">
      <selection activeCell="H16" sqref="H16"/>
    </sheetView>
  </sheetViews>
  <sheetFormatPr defaultRowHeight="15" x14ac:dyDescent="0.25"/>
  <cols>
    <col min="1" max="1" width="12.140625" bestFit="1" customWidth="1"/>
    <col min="2" max="2" width="13.5703125" bestFit="1" customWidth="1"/>
    <col min="3" max="4" width="12.42578125" bestFit="1" customWidth="1"/>
    <col min="5" max="5" width="13.28515625" customWidth="1"/>
    <col min="6" max="6" width="14.42578125" customWidth="1"/>
    <col min="7" max="7" width="10.28515625" customWidth="1"/>
    <col min="8" max="8" width="11.28515625" bestFit="1" customWidth="1"/>
    <col min="9" max="9" width="10.85546875" bestFit="1" customWidth="1"/>
    <col min="10" max="11" width="15.140625" bestFit="1" customWidth="1"/>
    <col min="12" max="12" width="17.5703125" hidden="1" customWidth="1"/>
    <col min="13" max="13" width="18.7109375" customWidth="1"/>
  </cols>
  <sheetData>
    <row r="1" spans="1:13" ht="25.5" x14ac:dyDescent="0.25">
      <c r="A1" s="1" t="s">
        <v>20</v>
      </c>
      <c r="B1" s="2" t="s">
        <v>0</v>
      </c>
      <c r="C1" s="2" t="s">
        <v>1</v>
      </c>
      <c r="D1" s="3" t="s">
        <v>18</v>
      </c>
      <c r="E1" s="3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1" t="s">
        <v>10</v>
      </c>
    </row>
    <row r="2" spans="1:13" x14ac:dyDescent="0.25">
      <c r="A2" s="29">
        <v>2019</v>
      </c>
      <c r="B2" s="30"/>
      <c r="C2" s="30"/>
      <c r="D2" s="30"/>
      <c r="E2" s="31"/>
      <c r="F2" s="14">
        <f>SUM(F3:F8)</f>
        <v>75.148300000000006</v>
      </c>
      <c r="G2" s="32"/>
      <c r="H2" s="33"/>
      <c r="I2" s="33"/>
      <c r="J2" s="33"/>
      <c r="K2" s="33"/>
      <c r="L2" s="33"/>
      <c r="M2" s="34"/>
    </row>
    <row r="3" spans="1:13" ht="51" x14ac:dyDescent="0.25">
      <c r="A3" s="4" t="s">
        <v>14</v>
      </c>
      <c r="B3" s="4" t="s">
        <v>11</v>
      </c>
      <c r="C3" s="5" t="s">
        <v>84</v>
      </c>
      <c r="D3" s="7">
        <f>5.93*2.16</f>
        <v>12.8088</v>
      </c>
      <c r="E3" s="6">
        <v>2.5</v>
      </c>
      <c r="F3" s="7">
        <f>5.93*2.16</f>
        <v>12.8088</v>
      </c>
      <c r="G3" s="5">
        <f>2*(2.16+5.93)</f>
        <v>16.18</v>
      </c>
      <c r="H3" s="7">
        <f>(5.93*2.5)*2</f>
        <v>29.65</v>
      </c>
      <c r="I3" s="5">
        <f>(2.16*2.5)*2</f>
        <v>10.8</v>
      </c>
      <c r="J3" s="7">
        <f>I3+H3</f>
        <v>40.450000000000003</v>
      </c>
      <c r="K3" s="7">
        <f>J3+F3</f>
        <v>53.258800000000001</v>
      </c>
      <c r="L3" s="11" t="s">
        <v>79</v>
      </c>
      <c r="M3" s="5"/>
    </row>
    <row r="4" spans="1:13" ht="25.5" x14ac:dyDescent="0.25">
      <c r="A4" s="17" t="s">
        <v>15</v>
      </c>
      <c r="B4" s="17" t="s">
        <v>13</v>
      </c>
      <c r="C4" s="9" t="s">
        <v>85</v>
      </c>
      <c r="D4" s="10">
        <f>1.79*1.07</f>
        <v>1.9153000000000002</v>
      </c>
      <c r="E4" s="8">
        <v>2.5</v>
      </c>
      <c r="F4" s="10">
        <f>1.79*1.07</f>
        <v>1.9153000000000002</v>
      </c>
      <c r="G4" s="9"/>
      <c r="H4" s="10"/>
      <c r="I4" s="9"/>
      <c r="J4" s="10">
        <f t="shared" ref="J4:J8" si="0">I4+H4</f>
        <v>0</v>
      </c>
      <c r="K4" s="10">
        <f>(1.79*0.35)*2+(1.07*0.35)*2</f>
        <v>2.0019999999999998</v>
      </c>
      <c r="L4" s="18"/>
      <c r="M4" s="17" t="s">
        <v>19</v>
      </c>
    </row>
    <row r="5" spans="1:13" x14ac:dyDescent="0.25">
      <c r="A5" s="4" t="s">
        <v>12</v>
      </c>
      <c r="B5" s="4" t="s">
        <v>13</v>
      </c>
      <c r="C5" s="5" t="s">
        <v>86</v>
      </c>
      <c r="D5" s="12">
        <f>2.31*1.78</f>
        <v>4.1118000000000006</v>
      </c>
      <c r="E5" s="6">
        <v>2.5</v>
      </c>
      <c r="F5" s="7">
        <f>2.31*1.78</f>
        <v>4.1118000000000006</v>
      </c>
      <c r="G5" s="5">
        <f>2*(2.31+1.78)</f>
        <v>8.18</v>
      </c>
      <c r="H5" s="5">
        <f>(2.31*2.5)*2</f>
        <v>11.55</v>
      </c>
      <c r="I5" s="5">
        <f>(1.78*2.5)*2</f>
        <v>8.9</v>
      </c>
      <c r="J5" s="7">
        <f t="shared" si="0"/>
        <v>20.450000000000003</v>
      </c>
      <c r="K5" s="7">
        <f>J5+F5</f>
        <v>24.561800000000005</v>
      </c>
      <c r="L5" s="11" t="s">
        <v>75</v>
      </c>
      <c r="M5" s="5"/>
    </row>
    <row r="6" spans="1:13" ht="25.5" x14ac:dyDescent="0.25">
      <c r="A6" s="4" t="s">
        <v>76</v>
      </c>
      <c r="B6" s="4" t="s">
        <v>11</v>
      </c>
      <c r="C6" s="5" t="s">
        <v>87</v>
      </c>
      <c r="D6" s="6">
        <f>1.85*1.8</f>
        <v>3.33</v>
      </c>
      <c r="E6" s="6">
        <v>2.5</v>
      </c>
      <c r="F6" s="5">
        <f>1.85*1.8</f>
        <v>3.33</v>
      </c>
      <c r="G6" s="5">
        <f>2*(1.85+1.8)</f>
        <v>7.3000000000000007</v>
      </c>
      <c r="H6" s="5">
        <f>(1.85*2.5)*2</f>
        <v>9.25</v>
      </c>
      <c r="I6" s="5">
        <f>(1.8*2.5)*2</f>
        <v>9</v>
      </c>
      <c r="J6" s="7">
        <f>I6+H6</f>
        <v>18.25</v>
      </c>
      <c r="K6" s="7">
        <f>J6+F6</f>
        <v>21.58</v>
      </c>
      <c r="L6" s="11" t="s">
        <v>77</v>
      </c>
      <c r="M6" s="5"/>
    </row>
    <row r="7" spans="1:13" ht="38.25" x14ac:dyDescent="0.25">
      <c r="A7" s="4" t="s">
        <v>16</v>
      </c>
      <c r="B7" s="4" t="s">
        <v>11</v>
      </c>
      <c r="C7" s="5" t="s">
        <v>88</v>
      </c>
      <c r="D7" s="12">
        <f>5.53*3.9</f>
        <v>21.567</v>
      </c>
      <c r="E7" s="6">
        <v>2.5</v>
      </c>
      <c r="F7" s="7">
        <f>3.9*5.53</f>
        <v>21.567</v>
      </c>
      <c r="G7" s="5">
        <f>2*(3.9+5.53)</f>
        <v>18.86</v>
      </c>
      <c r="H7" s="5">
        <f>(3.9*2.5)*2</f>
        <v>19.5</v>
      </c>
      <c r="I7" s="5">
        <f>(5.53*2.5)*2</f>
        <v>27.650000000000002</v>
      </c>
      <c r="J7" s="7">
        <f t="shared" si="0"/>
        <v>47.150000000000006</v>
      </c>
      <c r="K7" s="7">
        <f>J7+F7</f>
        <v>68.717000000000013</v>
      </c>
      <c r="L7" s="11" t="s">
        <v>80</v>
      </c>
      <c r="M7" s="5"/>
    </row>
    <row r="8" spans="1:13" ht="89.25" x14ac:dyDescent="0.25">
      <c r="A8" s="15" t="s">
        <v>17</v>
      </c>
      <c r="B8" s="4" t="s">
        <v>21</v>
      </c>
      <c r="C8" s="5" t="s">
        <v>89</v>
      </c>
      <c r="D8" s="12">
        <f>5.58*5.63</f>
        <v>31.415399999999998</v>
      </c>
      <c r="E8" s="13">
        <v>2.5</v>
      </c>
      <c r="F8" s="7">
        <f>5.58*5.63</f>
        <v>31.415399999999998</v>
      </c>
      <c r="G8" s="5">
        <f>2*(5.58+5.63)</f>
        <v>22.42</v>
      </c>
      <c r="H8" s="16">
        <f>(5.58*2.5)*2</f>
        <v>27.9</v>
      </c>
      <c r="I8" s="16">
        <f>(5.63*2.5)*2</f>
        <v>28.15</v>
      </c>
      <c r="J8" s="7">
        <f t="shared" si="0"/>
        <v>56.05</v>
      </c>
      <c r="K8" s="7">
        <f>F8+J8</f>
        <v>87.465399999999988</v>
      </c>
      <c r="L8" s="11" t="s">
        <v>78</v>
      </c>
      <c r="M8" s="4" t="s">
        <v>81</v>
      </c>
    </row>
    <row r="9" spans="1:13" ht="16.5" x14ac:dyDescent="0.3">
      <c r="A9" s="35" t="s">
        <v>74</v>
      </c>
      <c r="B9" s="35"/>
      <c r="C9" s="35"/>
      <c r="D9" s="22">
        <f>SUM(D3:D8)</f>
        <v>75.148300000000006</v>
      </c>
      <c r="E9" s="23">
        <f>E8</f>
        <v>2.5</v>
      </c>
      <c r="F9" s="22">
        <f t="shared" ref="F9:K9" si="1">SUM(F3:F8)</f>
        <v>75.148300000000006</v>
      </c>
      <c r="G9" s="23">
        <f t="shared" si="1"/>
        <v>72.94</v>
      </c>
      <c r="H9" s="22">
        <f t="shared" si="1"/>
        <v>97.85</v>
      </c>
      <c r="I9" s="23">
        <f t="shared" si="1"/>
        <v>84.5</v>
      </c>
      <c r="J9" s="22">
        <f t="shared" si="1"/>
        <v>182.35000000000002</v>
      </c>
      <c r="K9" s="22">
        <f t="shared" si="1"/>
        <v>257.58500000000004</v>
      </c>
      <c r="L9" s="21"/>
      <c r="M9" s="21"/>
    </row>
    <row r="11" spans="1:13" x14ac:dyDescent="0.25">
      <c r="G11" s="19"/>
      <c r="M11" s="19"/>
    </row>
  </sheetData>
  <mergeCells count="3">
    <mergeCell ref="A2:E2"/>
    <mergeCell ref="G2:M2"/>
    <mergeCell ref="A9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D6B9B-FC12-4CDD-9CB4-D7ADDCA94F08}">
  <dimension ref="A1:K30"/>
  <sheetViews>
    <sheetView tabSelected="1" workbookViewId="0">
      <pane ySplit="1" topLeftCell="A2" activePane="bottomLeft" state="frozen"/>
      <selection pane="bottomLeft" activeCell="F33" sqref="F33"/>
    </sheetView>
  </sheetViews>
  <sheetFormatPr defaultRowHeight="15" x14ac:dyDescent="0.25"/>
  <cols>
    <col min="1" max="1" width="6.85546875" customWidth="1"/>
    <col min="2" max="2" width="28.42578125" customWidth="1"/>
    <col min="3" max="3" width="3.7109375" bestFit="1" customWidth="1"/>
    <col min="4" max="4" width="19.7109375" customWidth="1"/>
    <col min="5" max="5" width="30" customWidth="1"/>
  </cols>
  <sheetData>
    <row r="1" spans="1:5" x14ac:dyDescent="0.25">
      <c r="A1" s="37" t="s">
        <v>46</v>
      </c>
      <c r="B1" s="38" t="s">
        <v>26</v>
      </c>
      <c r="C1" s="38" t="s">
        <v>30</v>
      </c>
      <c r="D1" s="38" t="s">
        <v>119</v>
      </c>
      <c r="E1" s="38" t="s">
        <v>10</v>
      </c>
    </row>
    <row r="2" spans="1:5" x14ac:dyDescent="0.25">
      <c r="A2" s="39">
        <v>2019</v>
      </c>
      <c r="B2" s="40"/>
      <c r="C2" s="40"/>
      <c r="D2" s="40"/>
      <c r="E2" s="41"/>
    </row>
    <row r="3" spans="1:5" ht="38.25" x14ac:dyDescent="0.25">
      <c r="A3" s="42" t="s">
        <v>47</v>
      </c>
      <c r="B3" s="43" t="s">
        <v>45</v>
      </c>
      <c r="C3" s="44" t="s">
        <v>31</v>
      </c>
      <c r="D3" s="45">
        <v>25</v>
      </c>
      <c r="E3" s="44"/>
    </row>
    <row r="4" spans="1:5" x14ac:dyDescent="0.25">
      <c r="A4" s="42" t="s">
        <v>48</v>
      </c>
      <c r="B4" s="43" t="s">
        <v>22</v>
      </c>
      <c r="C4" s="44" t="s">
        <v>31</v>
      </c>
      <c r="D4" s="45">
        <f>'Specyfikacja pomieszczeń'!F3+'Specyfikacja pomieszczeń'!F6+'Specyfikacja pomieszczeń'!F7+19.64</f>
        <v>57.345799999999997</v>
      </c>
      <c r="E4" s="44"/>
    </row>
    <row r="5" spans="1:5" x14ac:dyDescent="0.25">
      <c r="A5" s="42" t="s">
        <v>49</v>
      </c>
      <c r="B5" s="43" t="s">
        <v>23</v>
      </c>
      <c r="C5" s="44" t="s">
        <v>32</v>
      </c>
      <c r="D5" s="45">
        <f>'Specyfikacja pomieszczeń'!G9</f>
        <v>72.94</v>
      </c>
      <c r="E5" s="44"/>
    </row>
    <row r="6" spans="1:5" ht="25.5" x14ac:dyDescent="0.25">
      <c r="A6" s="42" t="s">
        <v>50</v>
      </c>
      <c r="B6" s="43" t="s">
        <v>118</v>
      </c>
      <c r="C6" s="44" t="s">
        <v>31</v>
      </c>
      <c r="D6" s="45">
        <v>13</v>
      </c>
      <c r="E6" s="44"/>
    </row>
    <row r="7" spans="1:5" x14ac:dyDescent="0.25">
      <c r="A7" s="42" t="s">
        <v>51</v>
      </c>
      <c r="B7" s="43" t="s">
        <v>24</v>
      </c>
      <c r="C7" s="44" t="s">
        <v>31</v>
      </c>
      <c r="D7" s="45">
        <v>2</v>
      </c>
      <c r="E7" s="44"/>
    </row>
    <row r="8" spans="1:5" ht="25.5" x14ac:dyDescent="0.25">
      <c r="A8" s="42" t="s">
        <v>52</v>
      </c>
      <c r="B8" s="43" t="s">
        <v>25</v>
      </c>
      <c r="C8" s="44" t="s">
        <v>31</v>
      </c>
      <c r="D8" s="45">
        <v>1.5</v>
      </c>
      <c r="E8" s="44"/>
    </row>
    <row r="9" spans="1:5" x14ac:dyDescent="0.25">
      <c r="A9" s="42" t="s">
        <v>53</v>
      </c>
      <c r="B9" s="43" t="s">
        <v>113</v>
      </c>
      <c r="C9" s="44" t="s">
        <v>40</v>
      </c>
      <c r="D9" s="45">
        <v>2</v>
      </c>
      <c r="E9" s="44" t="s">
        <v>112</v>
      </c>
    </row>
    <row r="10" spans="1:5" x14ac:dyDescent="0.25">
      <c r="A10" s="42" t="s">
        <v>54</v>
      </c>
      <c r="B10" s="43" t="s">
        <v>114</v>
      </c>
      <c r="C10" s="44" t="s">
        <v>102</v>
      </c>
      <c r="D10" s="45">
        <v>2</v>
      </c>
      <c r="E10" s="44" t="s">
        <v>112</v>
      </c>
    </row>
    <row r="11" spans="1:5" x14ac:dyDescent="0.25">
      <c r="A11" s="42" t="s">
        <v>55</v>
      </c>
      <c r="B11" s="43" t="s">
        <v>27</v>
      </c>
      <c r="C11" s="44" t="s">
        <v>31</v>
      </c>
      <c r="D11" s="45">
        <f>'Specyfikacja pomieszczeń'!J9</f>
        <v>182.35000000000002</v>
      </c>
      <c r="E11" s="44"/>
    </row>
    <row r="12" spans="1:5" x14ac:dyDescent="0.25">
      <c r="A12" s="42" t="s">
        <v>56</v>
      </c>
      <c r="B12" s="43" t="s">
        <v>28</v>
      </c>
      <c r="C12" s="44" t="s">
        <v>31</v>
      </c>
      <c r="D12" s="45">
        <f>'Specyfikacja pomieszczeń'!F9</f>
        <v>75.148300000000006</v>
      </c>
      <c r="E12" s="44"/>
    </row>
    <row r="13" spans="1:5" ht="25.5" x14ac:dyDescent="0.25">
      <c r="A13" s="42" t="s">
        <v>57</v>
      </c>
      <c r="B13" s="43" t="s">
        <v>29</v>
      </c>
      <c r="C13" s="44" t="s">
        <v>31</v>
      </c>
      <c r="D13" s="45">
        <f>'Specyfikacja pomieszczeń'!F3+'Specyfikacja pomieszczeń'!F5+'Specyfikacja pomieszczeń'!F6+'Specyfikacja pomieszczeń'!F7+'Specyfikacja pomieszczeń'!F8</f>
        <v>73.233000000000004</v>
      </c>
      <c r="E13" s="44"/>
    </row>
    <row r="14" spans="1:5" ht="25.5" x14ac:dyDescent="0.25">
      <c r="A14" s="42" t="s">
        <v>58</v>
      </c>
      <c r="B14" s="43" t="s">
        <v>33</v>
      </c>
      <c r="C14" s="44" t="s">
        <v>31</v>
      </c>
      <c r="D14" s="45">
        <f>('Specyfikacja pomieszczeń'!F3+'Specyfikacja pomieszczeń'!F5+'Specyfikacja pomieszczeń'!F6+'Specyfikacja pomieszczeń'!F7+'Specyfikacja pomieszczeń'!F8)+'wyliczenie pomocnicze'!E31</f>
        <v>84.174000000000007</v>
      </c>
      <c r="E14" s="44"/>
    </row>
    <row r="15" spans="1:5" x14ac:dyDescent="0.25">
      <c r="A15" s="42" t="s">
        <v>59</v>
      </c>
      <c r="B15" s="43" t="s">
        <v>38</v>
      </c>
      <c r="C15" s="46" t="s">
        <v>39</v>
      </c>
      <c r="D15" s="47">
        <f>(0.6+0.44)*2</f>
        <v>2.08</v>
      </c>
      <c r="E15" s="46"/>
    </row>
    <row r="16" spans="1:5" ht="25.5" x14ac:dyDescent="0.25">
      <c r="A16" s="42" t="s">
        <v>60</v>
      </c>
      <c r="B16" s="43" t="s">
        <v>104</v>
      </c>
      <c r="C16" s="46" t="s">
        <v>40</v>
      </c>
      <c r="D16" s="47">
        <v>6</v>
      </c>
      <c r="E16" s="46"/>
    </row>
    <row r="17" spans="1:11" ht="38.25" x14ac:dyDescent="0.25">
      <c r="A17" s="42" t="s">
        <v>61</v>
      </c>
      <c r="B17" s="43" t="s">
        <v>44</v>
      </c>
      <c r="C17" s="46" t="s">
        <v>103</v>
      </c>
      <c r="D17" s="47">
        <v>1</v>
      </c>
      <c r="E17" s="48" t="s">
        <v>111</v>
      </c>
    </row>
    <row r="18" spans="1:11" ht="25.5" x14ac:dyDescent="0.3">
      <c r="A18" s="42" t="s">
        <v>62</v>
      </c>
      <c r="B18" s="43" t="s">
        <v>92</v>
      </c>
      <c r="C18" s="44" t="s">
        <v>102</v>
      </c>
      <c r="D18" s="45">
        <v>2</v>
      </c>
      <c r="E18" s="42" t="s">
        <v>116</v>
      </c>
      <c r="G18" s="21"/>
      <c r="H18" s="21"/>
      <c r="I18" s="21"/>
      <c r="J18" s="21"/>
      <c r="K18" s="21"/>
    </row>
    <row r="19" spans="1:11" ht="25.5" x14ac:dyDescent="0.25">
      <c r="A19" s="42"/>
      <c r="B19" s="43" t="s">
        <v>110</v>
      </c>
      <c r="C19" s="44" t="s">
        <v>102</v>
      </c>
      <c r="D19" s="45">
        <v>2</v>
      </c>
      <c r="E19" s="42" t="s">
        <v>115</v>
      </c>
    </row>
    <row r="20" spans="1:11" ht="25.5" x14ac:dyDescent="0.25">
      <c r="A20" s="48" t="s">
        <v>63</v>
      </c>
      <c r="B20" s="49" t="s">
        <v>41</v>
      </c>
      <c r="C20" s="46" t="s">
        <v>102</v>
      </c>
      <c r="D20" s="47">
        <v>1</v>
      </c>
      <c r="E20" s="46" t="s">
        <v>107</v>
      </c>
    </row>
    <row r="21" spans="1:11" ht="57.75" customHeight="1" x14ac:dyDescent="0.25">
      <c r="A21" s="42" t="s">
        <v>64</v>
      </c>
      <c r="B21" s="43" t="s">
        <v>43</v>
      </c>
      <c r="C21" s="44" t="s">
        <v>40</v>
      </c>
      <c r="D21" s="45">
        <v>6</v>
      </c>
      <c r="E21" s="42" t="s">
        <v>108</v>
      </c>
    </row>
    <row r="22" spans="1:11" ht="25.5" x14ac:dyDescent="0.25">
      <c r="A22" s="42" t="s">
        <v>65</v>
      </c>
      <c r="B22" s="43" t="s">
        <v>101</v>
      </c>
      <c r="C22" s="44" t="s">
        <v>40</v>
      </c>
      <c r="D22" s="45">
        <v>2</v>
      </c>
      <c r="E22" s="44" t="s">
        <v>109</v>
      </c>
    </row>
    <row r="23" spans="1:11" ht="63.75" x14ac:dyDescent="0.25">
      <c r="A23" s="42" t="s">
        <v>66</v>
      </c>
      <c r="B23" s="43" t="s">
        <v>42</v>
      </c>
      <c r="C23" s="44" t="s">
        <v>40</v>
      </c>
      <c r="D23" s="45">
        <v>5</v>
      </c>
      <c r="E23" s="42" t="s">
        <v>100</v>
      </c>
    </row>
    <row r="24" spans="1:11" ht="63.75" x14ac:dyDescent="0.25">
      <c r="A24" s="42" t="s">
        <v>67</v>
      </c>
      <c r="B24" s="43" t="s">
        <v>105</v>
      </c>
      <c r="C24" s="44" t="s">
        <v>40</v>
      </c>
      <c r="D24" s="45">
        <v>5</v>
      </c>
      <c r="E24" s="42" t="s">
        <v>100</v>
      </c>
    </row>
    <row r="25" spans="1:11" x14ac:dyDescent="0.25">
      <c r="A25" s="42" t="s">
        <v>68</v>
      </c>
      <c r="B25" s="43" t="s">
        <v>34</v>
      </c>
      <c r="C25" s="44" t="s">
        <v>31</v>
      </c>
      <c r="D25" s="45">
        <f>('wyliczenie pomocnicze'!B21+'Specyfikacja pomieszczeń'!J5+'Specyfikacja pomieszczeń'!F5)+13.18</f>
        <v>54.985300000000002</v>
      </c>
      <c r="E25" s="44"/>
    </row>
    <row r="26" spans="1:11" x14ac:dyDescent="0.25">
      <c r="A26" s="42" t="s">
        <v>69</v>
      </c>
      <c r="B26" s="43" t="s">
        <v>36</v>
      </c>
      <c r="C26" s="44" t="s">
        <v>31</v>
      </c>
      <c r="D26" s="45">
        <v>16</v>
      </c>
      <c r="E26" s="44"/>
    </row>
    <row r="27" spans="1:11" x14ac:dyDescent="0.25">
      <c r="A27" s="42" t="s">
        <v>70</v>
      </c>
      <c r="B27" s="43" t="s">
        <v>37</v>
      </c>
      <c r="C27" s="44" t="s">
        <v>31</v>
      </c>
      <c r="D27" s="45">
        <f>5.63*2.5</f>
        <v>14.074999999999999</v>
      </c>
      <c r="E27" s="44"/>
    </row>
    <row r="28" spans="1:11" x14ac:dyDescent="0.25">
      <c r="A28" s="42" t="s">
        <v>71</v>
      </c>
      <c r="B28" s="43" t="s">
        <v>27</v>
      </c>
      <c r="C28" s="44" t="s">
        <v>31</v>
      </c>
      <c r="D28" s="45">
        <f>'Specyfikacja pomieszczeń'!J9</f>
        <v>182.35000000000002</v>
      </c>
      <c r="E28" s="44"/>
    </row>
    <row r="29" spans="1:11" x14ac:dyDescent="0.25">
      <c r="A29" s="42" t="s">
        <v>72</v>
      </c>
      <c r="B29" s="43" t="s">
        <v>28</v>
      </c>
      <c r="C29" s="44" t="s">
        <v>31</v>
      </c>
      <c r="D29" s="45">
        <f>'Specyfikacja pomieszczeń'!F9</f>
        <v>75.148300000000006</v>
      </c>
      <c r="E29" s="44"/>
    </row>
    <row r="30" spans="1:11" x14ac:dyDescent="0.25">
      <c r="A30" s="42" t="s">
        <v>73</v>
      </c>
      <c r="B30" s="43" t="s">
        <v>106</v>
      </c>
      <c r="C30" s="44" t="s">
        <v>39</v>
      </c>
      <c r="D30" s="45">
        <v>7</v>
      </c>
      <c r="E30" s="44"/>
    </row>
  </sheetData>
  <mergeCells count="1">
    <mergeCell ref="A2:E2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F9864-9D37-4A99-A78C-7E3591C5C4D3}">
  <dimension ref="A1:G31"/>
  <sheetViews>
    <sheetView topLeftCell="A7" workbookViewId="0">
      <selection activeCell="B15" sqref="B15"/>
    </sheetView>
  </sheetViews>
  <sheetFormatPr defaultRowHeight="15" x14ac:dyDescent="0.25"/>
  <cols>
    <col min="1" max="1" width="11.7109375" customWidth="1"/>
  </cols>
  <sheetData>
    <row r="1" spans="1:7" x14ac:dyDescent="0.25">
      <c r="A1" s="36" t="s">
        <v>98</v>
      </c>
      <c r="B1" s="36"/>
    </row>
    <row r="2" spans="1:7" x14ac:dyDescent="0.25">
      <c r="A2" s="4" t="s">
        <v>14</v>
      </c>
      <c r="B2" s="24">
        <f>(1.62*1.43)+(0.9*2)</f>
        <v>4.1166</v>
      </c>
    </row>
    <row r="3" spans="1:7" x14ac:dyDescent="0.25">
      <c r="A3" s="17" t="s">
        <v>15</v>
      </c>
      <c r="B3" s="24"/>
    </row>
    <row r="4" spans="1:7" x14ac:dyDescent="0.25">
      <c r="A4" s="4" t="s">
        <v>12</v>
      </c>
      <c r="B4" s="24"/>
    </row>
    <row r="5" spans="1:7" x14ac:dyDescent="0.25">
      <c r="A5" s="4" t="s">
        <v>76</v>
      </c>
      <c r="B5" s="24">
        <f>0.82*0.87</f>
        <v>0.71339999999999992</v>
      </c>
    </row>
    <row r="6" spans="1:7" x14ac:dyDescent="0.25">
      <c r="A6" s="4" t="s">
        <v>16</v>
      </c>
      <c r="B6" s="24">
        <f>(1.62*1.43)+(1.62*1.41)+(0.82*3.1)</f>
        <v>7.1428000000000003</v>
      </c>
    </row>
    <row r="7" spans="1:7" ht="38.25" x14ac:dyDescent="0.25">
      <c r="A7" s="15" t="s">
        <v>17</v>
      </c>
      <c r="B7" s="24">
        <f>5.73*1.62</f>
        <v>9.2826000000000022</v>
      </c>
    </row>
    <row r="8" spans="1:7" x14ac:dyDescent="0.25">
      <c r="A8" s="20" t="s">
        <v>82</v>
      </c>
      <c r="B8" s="25">
        <f>SUM(B2:B7)</f>
        <v>21.255400000000002</v>
      </c>
      <c r="D8" s="19">
        <f>B8</f>
        <v>21.255400000000002</v>
      </c>
    </row>
    <row r="9" spans="1:7" x14ac:dyDescent="0.25">
      <c r="D9" s="19">
        <f>D8*0.05</f>
        <v>1.0627700000000002</v>
      </c>
      <c r="E9" s="19">
        <f>D8+D9</f>
        <v>22.318170000000002</v>
      </c>
    </row>
    <row r="10" spans="1:7" x14ac:dyDescent="0.25">
      <c r="C10" s="26" t="s">
        <v>83</v>
      </c>
      <c r="D10" s="27">
        <v>25</v>
      </c>
    </row>
    <row r="14" spans="1:7" x14ac:dyDescent="0.25">
      <c r="A14" s="26" t="s">
        <v>90</v>
      </c>
      <c r="F14" s="19">
        <f>B15*0.05</f>
        <v>12.879250000000003</v>
      </c>
      <c r="G14" t="s">
        <v>117</v>
      </c>
    </row>
    <row r="15" spans="1:7" x14ac:dyDescent="0.25">
      <c r="A15" t="s">
        <v>91</v>
      </c>
      <c r="B15" s="19">
        <f>'Specyfikacja pomieszczeń'!K9</f>
        <v>257.58500000000004</v>
      </c>
    </row>
    <row r="16" spans="1:7" x14ac:dyDescent="0.25">
      <c r="B16" s="19"/>
    </row>
    <row r="19" spans="1:5" ht="29.25" customHeight="1" x14ac:dyDescent="0.25">
      <c r="A19" s="28" t="s">
        <v>93</v>
      </c>
      <c r="B19" s="19">
        <f>(3*0.7)+(2.2*0.7)+(0.6*0.7)</f>
        <v>4.0599999999999996</v>
      </c>
    </row>
    <row r="20" spans="1:5" x14ac:dyDescent="0.25">
      <c r="A20" t="s">
        <v>94</v>
      </c>
      <c r="B20" s="19">
        <f>2.35*5.61</f>
        <v>13.1835</v>
      </c>
    </row>
    <row r="21" spans="1:5" x14ac:dyDescent="0.25">
      <c r="A21" t="s">
        <v>82</v>
      </c>
      <c r="B21" s="19">
        <f>SUM(B19:B20)</f>
        <v>17.243500000000001</v>
      </c>
    </row>
    <row r="24" spans="1:5" x14ac:dyDescent="0.25">
      <c r="A24" s="26" t="s">
        <v>35</v>
      </c>
    </row>
    <row r="25" spans="1:5" x14ac:dyDescent="0.25">
      <c r="A25" t="s">
        <v>95</v>
      </c>
      <c r="B25" s="19">
        <f>2.31*2.5</f>
        <v>5.7750000000000004</v>
      </c>
    </row>
    <row r="26" spans="1:5" x14ac:dyDescent="0.25">
      <c r="A26" t="s">
        <v>96</v>
      </c>
      <c r="B26">
        <f>(3.9-1.1)*2.5</f>
        <v>7</v>
      </c>
    </row>
    <row r="27" spans="1:5" x14ac:dyDescent="0.25">
      <c r="A27" t="s">
        <v>97</v>
      </c>
      <c r="B27" s="19">
        <f>1.18*2.5</f>
        <v>2.9499999999999997</v>
      </c>
    </row>
    <row r="28" spans="1:5" x14ac:dyDescent="0.25">
      <c r="A28" t="s">
        <v>82</v>
      </c>
      <c r="B28" s="19">
        <f>SUM(B25:B27)</f>
        <v>15.725</v>
      </c>
      <c r="C28" t="s">
        <v>83</v>
      </c>
      <c r="D28">
        <v>16</v>
      </c>
    </row>
    <row r="31" spans="1:5" x14ac:dyDescent="0.25">
      <c r="A31" t="s">
        <v>99</v>
      </c>
      <c r="E31" s="19">
        <f>'Specyfikacja pomieszczeń'!G9*0.15</f>
        <v>10.940999999999999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pomieszczeń</vt:lpstr>
      <vt:lpstr>Zakres prac - przedmiar</vt:lpstr>
      <vt:lpstr>wyliczenie pomocnicze</vt:lpstr>
    </vt:vector>
  </TitlesOfParts>
  <Company>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Zmitrowicz Marta</dc:creator>
  <cp:lastModifiedBy>Zmitrowicz Marta</cp:lastModifiedBy>
  <dcterms:created xsi:type="dcterms:W3CDTF">2024-09-19T12:42:27Z</dcterms:created>
  <dcterms:modified xsi:type="dcterms:W3CDTF">2024-09-30T12:38:58Z</dcterms:modified>
</cp:coreProperties>
</file>